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7995" activeTab="0"/>
  </bookViews>
  <sheets>
    <sheet name="План хд 6" sheetId="1" r:id="rId1"/>
    <sheet name="ПХД" sheetId="2" r:id="rId2"/>
  </sheets>
  <definedNames/>
  <calcPr fullCalcOnLoad="1"/>
</workbook>
</file>

<file path=xl/sharedStrings.xml><?xml version="1.0" encoding="utf-8"?>
<sst xmlns="http://schemas.openxmlformats.org/spreadsheetml/2006/main" count="309" uniqueCount="102">
  <si>
    <t>Главный распорядитель средств</t>
  </si>
  <si>
    <t>Получатель средств</t>
  </si>
  <si>
    <t>Единица измерения: руб.</t>
  </si>
  <si>
    <t>Наименование расхода</t>
  </si>
  <si>
    <t>Код по БК</t>
  </si>
  <si>
    <t>Финансовый год</t>
  </si>
  <si>
    <t>РЗ</t>
  </si>
  <si>
    <t>ПР</t>
  </si>
  <si>
    <t>ЦСР</t>
  </si>
  <si>
    <t>ВР</t>
  </si>
  <si>
    <t>КОСГУ</t>
  </si>
  <si>
    <t>ДК</t>
  </si>
  <si>
    <t>Всего</t>
  </si>
  <si>
    <t>ДОХОДЫ</t>
  </si>
  <si>
    <t>Родительская плата</t>
  </si>
  <si>
    <t>017</t>
  </si>
  <si>
    <t>611</t>
  </si>
  <si>
    <t>180</t>
  </si>
  <si>
    <t>004</t>
  </si>
  <si>
    <t>Заработная плата</t>
  </si>
  <si>
    <t>Начисления на выплаты по оплате труда</t>
  </si>
  <si>
    <t>Прочие расходы</t>
  </si>
  <si>
    <t>Увеличение стоимости материальных запасов</t>
  </si>
  <si>
    <t>211</t>
  </si>
  <si>
    <t>213</t>
  </si>
  <si>
    <t>221</t>
  </si>
  <si>
    <t>223</t>
  </si>
  <si>
    <t>Коммунальные услуги:</t>
  </si>
  <si>
    <t>отопление</t>
  </si>
  <si>
    <t>потребление электроэнергии</t>
  </si>
  <si>
    <t>225</t>
  </si>
  <si>
    <t>226</t>
  </si>
  <si>
    <t>290</t>
  </si>
  <si>
    <t>340</t>
  </si>
  <si>
    <t>медикаменты</t>
  </si>
  <si>
    <t>000</t>
  </si>
  <si>
    <t>0000</t>
  </si>
  <si>
    <t>Гл.бухгалтер</t>
  </si>
  <si>
    <t>01</t>
  </si>
  <si>
    <t>Прочие работы,услуги</t>
  </si>
  <si>
    <t>0702</t>
  </si>
  <si>
    <t>Директор</t>
  </si>
  <si>
    <t>1.2</t>
  </si>
  <si>
    <t>0129306</t>
  </si>
  <si>
    <t>0127001</t>
  </si>
  <si>
    <t>340/350</t>
  </si>
  <si>
    <t>340/310</t>
  </si>
  <si>
    <t>05</t>
  </si>
  <si>
    <t>0132007</t>
  </si>
  <si>
    <t>0707</t>
  </si>
  <si>
    <t>0132006</t>
  </si>
  <si>
    <t>0139308</t>
  </si>
  <si>
    <t>План финансово-хозяйственной деятельности на 2015 год</t>
  </si>
  <si>
    <t>212</t>
  </si>
  <si>
    <t>МБОУСОШ № 8 с.Черниговка</t>
  </si>
  <si>
    <t>Субсидии бюджетным учреждениям</t>
  </si>
  <si>
    <t>Субвенции на обеспечение беплатного питания</t>
  </si>
  <si>
    <t>Субвенции на реализацию образования</t>
  </si>
  <si>
    <t>Морозова Е.Г.</t>
  </si>
  <si>
    <t>340/340</t>
  </si>
  <si>
    <t>00000</t>
  </si>
  <si>
    <t>130</t>
  </si>
  <si>
    <t>0797006</t>
  </si>
  <si>
    <t>15</t>
  </si>
  <si>
    <t>общий</t>
  </si>
  <si>
    <t>январь</t>
  </si>
  <si>
    <t>Субсидии на иные цели</t>
  </si>
  <si>
    <t>1.2/с</t>
  </si>
  <si>
    <t>увел.ст-ти пит. Лагерь</t>
  </si>
  <si>
    <t>1.2с</t>
  </si>
  <si>
    <t>0.2</t>
  </si>
  <si>
    <t>февраль</t>
  </si>
  <si>
    <t>ГСМ</t>
  </si>
  <si>
    <t>кассов</t>
  </si>
  <si>
    <t>остаток ПХД</t>
  </si>
  <si>
    <t>март</t>
  </si>
  <si>
    <t>04</t>
  </si>
  <si>
    <t xml:space="preserve">за обучение субвенции 226 </t>
  </si>
  <si>
    <t>доход</t>
  </si>
  <si>
    <t>за 3 мес</t>
  </si>
  <si>
    <t>Итого</t>
  </si>
  <si>
    <t>з/плата  рем. Бригада</t>
  </si>
  <si>
    <t>уведомление 17.02.2015</t>
  </si>
  <si>
    <t>субсидии на иные цели</t>
  </si>
  <si>
    <t>за апрель</t>
  </si>
  <si>
    <t>с н г</t>
  </si>
  <si>
    <t>за май</t>
  </si>
  <si>
    <t>за июнь</t>
  </si>
  <si>
    <t>за июль</t>
  </si>
  <si>
    <t>за август</t>
  </si>
  <si>
    <t>за сентябрь</t>
  </si>
  <si>
    <t>Ланит</t>
  </si>
  <si>
    <t>Водоснабжение</t>
  </si>
  <si>
    <t>прочие расходы</t>
  </si>
  <si>
    <t>Прочие выплаты</t>
  </si>
  <si>
    <t>за октябрь</t>
  </si>
  <si>
    <t>услуги связи</t>
  </si>
  <si>
    <t>за ноябрь</t>
  </si>
  <si>
    <t>Декабрь 2015 года.</t>
  </si>
  <si>
    <t>за декабрь</t>
  </si>
  <si>
    <t>руб/коп</t>
  </si>
  <si>
    <t>Мальцева О.А.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</si>
</sst>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i/>
      <sz val="8"/>
      <color indexed="8"/>
      <name val="Calibri"/>
      <family val="2"/>
    </font>
    <font>
      <i/>
      <sz val="8"/>
      <color indexed="8"/>
      <name val="Calibri"/>
      <family val="2"/>
    </font>
    <font>
      <i/>
      <sz val="10"/>
      <color indexed="8"/>
      <name val="Calibri"/>
      <family val="2"/>
    </font>
    <font>
      <sz val="14"/>
      <color indexed="8"/>
      <name val="Calibri"/>
      <family val="2"/>
    </font>
    <font>
      <i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 horizontal="left"/>
    </xf>
    <xf numFmtId="0" fontId="6" fillId="0" borderId="10" xfId="0" applyFont="1" applyBorder="1" applyAlignment="1">
      <alignment/>
    </xf>
    <xf numFmtId="49" fontId="0" fillId="0" borderId="10" xfId="0" applyNumberFormat="1" applyFill="1" applyBorder="1" applyAlignment="1">
      <alignment horizontal="center"/>
    </xf>
    <xf numFmtId="4" fontId="3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wrapText="1"/>
    </xf>
    <xf numFmtId="4" fontId="4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3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4" fontId="26" fillId="0" borderId="10" xfId="0" applyNumberFormat="1" applyFont="1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26" fillId="0" borderId="16" xfId="0" applyFont="1" applyFill="1" applyBorder="1" applyAlignment="1">
      <alignment horizontal="center" wrapText="1"/>
    </xf>
    <xf numFmtId="0" fontId="26" fillId="0" borderId="17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3"/>
  <sheetViews>
    <sheetView tabSelected="1" zoomScalePageLayoutView="0" workbookViewId="0" topLeftCell="A1">
      <selection activeCell="E54" sqref="E54:G54"/>
    </sheetView>
  </sheetViews>
  <sheetFormatPr defaultColWidth="9.140625" defaultRowHeight="15"/>
  <cols>
    <col min="1" max="1" width="18.00390625" style="0" customWidth="1"/>
    <col min="2" max="2" width="6.57421875" style="0" customWidth="1"/>
    <col min="3" max="3" width="5.7109375" style="0" customWidth="1"/>
    <col min="4" max="4" width="7.8515625" style="0" customWidth="1"/>
    <col min="5" max="5" width="6.140625" style="0" customWidth="1"/>
    <col min="6" max="7" width="6.8515625" style="0" customWidth="1"/>
    <col min="8" max="8" width="13.421875" style="0" customWidth="1"/>
    <col min="9" max="9" width="13.28125" style="0" hidden="1" customWidth="1"/>
    <col min="10" max="10" width="2.140625" style="0" hidden="1" customWidth="1"/>
    <col min="11" max="11" width="13.28125" style="0" hidden="1" customWidth="1"/>
    <col min="12" max="12" width="11.57421875" style="0" hidden="1" customWidth="1"/>
    <col min="13" max="13" width="12.7109375" style="0" hidden="1" customWidth="1"/>
    <col min="14" max="14" width="11.7109375" style="0" hidden="1" customWidth="1"/>
    <col min="15" max="15" width="12.140625" style="0" hidden="1" customWidth="1"/>
    <col min="16" max="16" width="12.00390625" style="0" hidden="1" customWidth="1"/>
    <col min="17" max="17" width="11.421875" style="0" hidden="1" customWidth="1"/>
    <col min="18" max="18" width="11.57421875" style="0" hidden="1" customWidth="1"/>
    <col min="19" max="22" width="12.00390625" style="0" hidden="1" customWidth="1"/>
    <col min="23" max="23" width="12.7109375" style="0" customWidth="1"/>
    <col min="24" max="24" width="13.57421875" style="0" customWidth="1"/>
    <col min="25" max="25" width="10.8515625" style="0" hidden="1" customWidth="1"/>
    <col min="26" max="26" width="15.421875" style="0" customWidth="1"/>
    <col min="27" max="27" width="15.28125" style="0" customWidth="1"/>
  </cols>
  <sheetData>
    <row r="1" spans="1:25" ht="33.75" customHeight="1">
      <c r="A1" s="26" t="s">
        <v>52</v>
      </c>
      <c r="B1" s="27"/>
      <c r="C1" s="27"/>
      <c r="D1" s="27"/>
      <c r="E1" s="27"/>
      <c r="F1" s="27"/>
      <c r="G1" s="27"/>
      <c r="H1" s="27"/>
      <c r="I1" s="66" t="s">
        <v>98</v>
      </c>
      <c r="J1" s="66"/>
      <c r="K1" s="66"/>
      <c r="L1" s="66"/>
      <c r="M1" s="66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56" t="s">
        <v>64</v>
      </c>
    </row>
    <row r="2" spans="1:24" ht="15">
      <c r="A2" s="29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4" ht="15">
      <c r="A3" s="29" t="s">
        <v>1</v>
      </c>
      <c r="B3" s="30"/>
      <c r="C3" s="30"/>
      <c r="D3" s="30"/>
      <c r="E3" s="60" t="s">
        <v>54</v>
      </c>
      <c r="F3" s="60"/>
      <c r="G3" s="60"/>
      <c r="H3" s="60"/>
      <c r="I3" s="33"/>
      <c r="J3" s="33"/>
      <c r="K3" s="49"/>
      <c r="L3" s="49"/>
      <c r="M3" s="49"/>
      <c r="N3" s="49"/>
      <c r="O3" s="49"/>
      <c r="P3" s="49"/>
      <c r="Q3" s="34"/>
      <c r="R3" s="34"/>
      <c r="S3" s="34"/>
      <c r="T3" s="34"/>
      <c r="U3" s="34"/>
      <c r="V3" s="34"/>
      <c r="W3" s="34"/>
      <c r="X3" s="34"/>
    </row>
    <row r="4" spans="1:24" ht="15">
      <c r="A4" s="29"/>
      <c r="B4" s="30"/>
      <c r="C4" s="30"/>
      <c r="D4" s="30"/>
      <c r="E4" s="32"/>
      <c r="F4" s="32"/>
      <c r="G4" s="32"/>
      <c r="H4" s="32"/>
      <c r="I4" s="33"/>
      <c r="J4" s="33"/>
      <c r="K4" s="49"/>
      <c r="L4" s="49"/>
      <c r="M4" s="49"/>
      <c r="N4" s="49"/>
      <c r="O4" s="49"/>
      <c r="P4" s="49"/>
      <c r="Q4" s="34"/>
      <c r="R4" s="34"/>
      <c r="S4" s="34"/>
      <c r="T4" s="34"/>
      <c r="U4" s="34"/>
      <c r="V4" s="34"/>
      <c r="W4" s="34"/>
      <c r="X4" s="34"/>
    </row>
    <row r="5" spans="1:24" ht="15">
      <c r="A5" s="29"/>
      <c r="B5" s="30"/>
      <c r="C5" s="30"/>
      <c r="D5" s="30"/>
      <c r="E5" s="32"/>
      <c r="F5" s="32"/>
      <c r="G5" s="32"/>
      <c r="H5" s="32"/>
      <c r="I5" s="33"/>
      <c r="J5" s="33"/>
      <c r="K5" s="49"/>
      <c r="L5" s="49"/>
      <c r="M5" s="49"/>
      <c r="N5" s="49"/>
      <c r="O5" s="49"/>
      <c r="P5" s="49"/>
      <c r="Q5" s="34"/>
      <c r="R5" s="34"/>
      <c r="S5" s="34"/>
      <c r="T5" s="34"/>
      <c r="U5" s="34"/>
      <c r="V5" s="34"/>
      <c r="W5" s="34"/>
      <c r="X5" s="34"/>
    </row>
    <row r="6" spans="1:24" ht="15">
      <c r="A6" s="29" t="s">
        <v>2</v>
      </c>
      <c r="B6" s="31"/>
      <c r="C6" s="31"/>
      <c r="D6" s="31"/>
      <c r="E6" s="35"/>
      <c r="F6" s="35"/>
      <c r="G6" s="35"/>
      <c r="H6" s="35" t="s">
        <v>100</v>
      </c>
      <c r="I6" s="31"/>
      <c r="J6" s="31"/>
      <c r="K6" s="49"/>
      <c r="L6" s="49"/>
      <c r="M6" s="49"/>
      <c r="N6" s="49"/>
      <c r="O6" s="49"/>
      <c r="P6" s="49"/>
      <c r="Q6" s="31"/>
      <c r="R6" s="31"/>
      <c r="S6" s="31"/>
      <c r="T6" s="31"/>
      <c r="U6" s="31"/>
      <c r="V6" s="31"/>
      <c r="W6" s="31"/>
      <c r="X6" s="31"/>
    </row>
    <row r="7" spans="1:24" ht="15">
      <c r="A7" s="35"/>
      <c r="B7" s="35"/>
      <c r="C7" s="35"/>
      <c r="D7" s="35"/>
      <c r="E7" s="35"/>
      <c r="F7" s="35"/>
      <c r="G7" s="35"/>
      <c r="H7" s="35"/>
      <c r="I7" s="35"/>
      <c r="J7" s="31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</row>
    <row r="8" spans="1:24" ht="15">
      <c r="A8" s="61" t="s">
        <v>3</v>
      </c>
      <c r="B8" s="63" t="s">
        <v>4</v>
      </c>
      <c r="C8" s="64"/>
      <c r="D8" s="64"/>
      <c r="E8" s="64"/>
      <c r="F8" s="65"/>
      <c r="G8" s="36"/>
      <c r="H8" s="36" t="s">
        <v>5</v>
      </c>
      <c r="I8" s="37" t="s">
        <v>73</v>
      </c>
      <c r="J8" s="37"/>
      <c r="K8" s="38" t="s">
        <v>78</v>
      </c>
      <c r="L8" s="37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</row>
    <row r="9" spans="1:24" ht="15">
      <c r="A9" s="62"/>
      <c r="B9" s="39" t="s">
        <v>6</v>
      </c>
      <c r="C9" s="39" t="s">
        <v>7</v>
      </c>
      <c r="D9" s="39" t="s">
        <v>8</v>
      </c>
      <c r="E9" s="39" t="s">
        <v>9</v>
      </c>
      <c r="F9" s="39" t="s">
        <v>10</v>
      </c>
      <c r="G9" s="39" t="s">
        <v>11</v>
      </c>
      <c r="H9" s="39" t="s">
        <v>12</v>
      </c>
      <c r="I9" s="40" t="s">
        <v>65</v>
      </c>
      <c r="J9" s="40"/>
      <c r="K9" s="40" t="s">
        <v>71</v>
      </c>
      <c r="L9" s="40" t="s">
        <v>75</v>
      </c>
      <c r="M9" s="40" t="s">
        <v>79</v>
      </c>
      <c r="N9" s="40" t="s">
        <v>84</v>
      </c>
      <c r="O9" s="40" t="s">
        <v>86</v>
      </c>
      <c r="P9" s="40" t="s">
        <v>87</v>
      </c>
      <c r="Q9" s="40" t="s">
        <v>88</v>
      </c>
      <c r="R9" s="40" t="s">
        <v>89</v>
      </c>
      <c r="S9" s="40" t="s">
        <v>90</v>
      </c>
      <c r="T9" s="40" t="s">
        <v>95</v>
      </c>
      <c r="U9" s="40" t="s">
        <v>97</v>
      </c>
      <c r="V9" s="40" t="s">
        <v>99</v>
      </c>
      <c r="W9" s="39" t="s">
        <v>85</v>
      </c>
      <c r="X9" s="39" t="s">
        <v>74</v>
      </c>
    </row>
    <row r="10" spans="1:24" ht="15">
      <c r="A10" s="36" t="s">
        <v>13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</row>
    <row r="11" spans="1:24" ht="75">
      <c r="A11" s="19" t="s">
        <v>55</v>
      </c>
      <c r="B11" s="15" t="s">
        <v>35</v>
      </c>
      <c r="C11" s="15" t="s">
        <v>36</v>
      </c>
      <c r="D11" s="15" t="s">
        <v>60</v>
      </c>
      <c r="E11" s="15" t="s">
        <v>35</v>
      </c>
      <c r="F11" s="15" t="s">
        <v>17</v>
      </c>
      <c r="G11" s="15" t="s">
        <v>42</v>
      </c>
      <c r="H11" s="13">
        <f>6165400-0-823400-294000-150000-71703+1354.47-100000-9064.64+200000+200000-2920+25869-40938.96+650875.31</f>
        <v>5751472.18</v>
      </c>
      <c r="I11" s="13">
        <f>15000+17000</f>
        <v>32000</v>
      </c>
      <c r="J11" s="13"/>
      <c r="K11" s="13">
        <f>1017521.16</f>
        <v>1017521.16</v>
      </c>
      <c r="L11" s="13">
        <f>21347.57+455761.41+22891+13115.57+12250</f>
        <v>525365.55</v>
      </c>
      <c r="M11" s="13">
        <f>I11+K11+L11</f>
        <v>1574886.7100000002</v>
      </c>
      <c r="N11" s="13">
        <f>943.23+6250+10000+312171.5+5961.93+17184.6+17166.1+171195.58+11266+5840</f>
        <v>557978.94</v>
      </c>
      <c r="O11" s="13">
        <f>2260.33+202819.26+2975.66+20480+200007.97+12250+3420</f>
        <v>444213.22</v>
      </c>
      <c r="P11" s="13">
        <f>75170.36+2780.52+17775.6+20455.26+57933.26+13000+94110.5+11760+9990</f>
        <v>302975.5</v>
      </c>
      <c r="Q11" s="13">
        <f>293465.58-260</f>
        <v>293205.58</v>
      </c>
      <c r="R11" s="13">
        <f>874532.4+24440.57</f>
        <v>898972.97</v>
      </c>
      <c r="S11" s="13">
        <f>73659.71+13569.8+2456.11+18000+943.9+20739.32+10328.74+1155+5354.99</f>
        <v>146207.56999999998</v>
      </c>
      <c r="T11" s="13">
        <f>73900+13718.83+22000+150000+3716</f>
        <v>263334.83</v>
      </c>
      <c r="U11" s="13">
        <f>180380+56407.6+5364.17+25000+722000+17104.57+26067.5</f>
        <v>1032323.84</v>
      </c>
      <c r="V11" s="13">
        <f>277443.47+107038+1767.11+24410+25000+1101.22+72570+10000+2003</f>
        <v>521332.79999999993</v>
      </c>
      <c r="W11" s="13">
        <f aca="true" t="shared" si="0" ref="W11:W16">M11+N11+O11+P11+Q11+R11+S11+T11+U11+V11</f>
        <v>6035431.96</v>
      </c>
      <c r="X11" s="13">
        <f aca="true" t="shared" si="1" ref="X11:X20">H11-W11</f>
        <v>-283959.78000000026</v>
      </c>
    </row>
    <row r="12" spans="1:24" ht="27" customHeight="1">
      <c r="A12" s="19" t="s">
        <v>55</v>
      </c>
      <c r="B12" s="15" t="s">
        <v>35</v>
      </c>
      <c r="C12" s="15" t="s">
        <v>36</v>
      </c>
      <c r="D12" s="15" t="s">
        <v>60</v>
      </c>
      <c r="E12" s="15" t="s">
        <v>35</v>
      </c>
      <c r="F12" s="15" t="s">
        <v>17</v>
      </c>
      <c r="G12" s="15" t="s">
        <v>42</v>
      </c>
      <c r="H12" s="13">
        <f>232477+69972</f>
        <v>302449</v>
      </c>
      <c r="I12" s="13"/>
      <c r="J12" s="13"/>
      <c r="K12" s="13"/>
      <c r="L12" s="13"/>
      <c r="M12" s="13">
        <f>I12+K12+L12</f>
        <v>0</v>
      </c>
      <c r="N12" s="13"/>
      <c r="O12" s="13"/>
      <c r="P12" s="13"/>
      <c r="Q12" s="13"/>
      <c r="R12" s="13"/>
      <c r="S12" s="13"/>
      <c r="T12" s="13"/>
      <c r="U12" s="13"/>
      <c r="V12" s="13"/>
      <c r="W12" s="13">
        <f t="shared" si="0"/>
        <v>0</v>
      </c>
      <c r="X12" s="13">
        <f t="shared" si="1"/>
        <v>302449</v>
      </c>
    </row>
    <row r="13" spans="1:24" ht="27" customHeight="1">
      <c r="A13" s="19" t="s">
        <v>82</v>
      </c>
      <c r="B13" s="15"/>
      <c r="C13" s="15"/>
      <c r="D13" s="15"/>
      <c r="E13" s="15"/>
      <c r="F13" s="15"/>
      <c r="G13" s="15"/>
      <c r="H13" s="13"/>
      <c r="I13" s="13"/>
      <c r="J13" s="13"/>
      <c r="K13" s="13"/>
      <c r="L13" s="13"/>
      <c r="M13" s="13">
        <f>I13+K13+L13</f>
        <v>0</v>
      </c>
      <c r="N13" s="13"/>
      <c r="O13" s="13"/>
      <c r="P13" s="13"/>
      <c r="Q13" s="13"/>
      <c r="R13" s="13"/>
      <c r="S13" s="13"/>
      <c r="T13" s="13"/>
      <c r="U13" s="13"/>
      <c r="V13" s="13"/>
      <c r="W13" s="13">
        <f t="shared" si="0"/>
        <v>0</v>
      </c>
      <c r="X13" s="13">
        <f t="shared" si="1"/>
        <v>0</v>
      </c>
    </row>
    <row r="14" spans="1:24" ht="27" customHeight="1">
      <c r="A14" s="19"/>
      <c r="B14" s="15"/>
      <c r="C14" s="15"/>
      <c r="D14" s="15"/>
      <c r="E14" s="15"/>
      <c r="F14" s="15"/>
      <c r="G14" s="1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>
        <f t="shared" si="0"/>
        <v>0</v>
      </c>
      <c r="X14" s="13">
        <f t="shared" si="1"/>
        <v>0</v>
      </c>
    </row>
    <row r="15" spans="1:24" ht="27" customHeight="1">
      <c r="A15" s="18" t="s">
        <v>57</v>
      </c>
      <c r="B15" s="15" t="s">
        <v>35</v>
      </c>
      <c r="C15" s="15" t="s">
        <v>36</v>
      </c>
      <c r="D15" s="15" t="s">
        <v>60</v>
      </c>
      <c r="E15" s="15" t="s">
        <v>35</v>
      </c>
      <c r="F15" s="15" t="s">
        <v>17</v>
      </c>
      <c r="G15" s="15" t="s">
        <v>69</v>
      </c>
      <c r="H15" s="13">
        <f>25743100-2969000+49671+91268.97</f>
        <v>22915039.97</v>
      </c>
      <c r="I15" s="13">
        <v>680000</v>
      </c>
      <c r="J15" s="13"/>
      <c r="K15" s="13">
        <f>1557041.12+477727.35</f>
        <v>2034768.4700000002</v>
      </c>
      <c r="L15" s="13">
        <f>711820.95+466882.69+665517.53</f>
        <v>1844221.17</v>
      </c>
      <c r="M15" s="13">
        <f>I15+K15+L15</f>
        <v>4558989.640000001</v>
      </c>
      <c r="N15" s="13">
        <f>34000+993997.99+442400.12</f>
        <v>1470398.1099999999</v>
      </c>
      <c r="O15" s="13">
        <f>2352067.84+552592.08</f>
        <v>2904659.92</v>
      </c>
      <c r="P15" s="13">
        <f>2738192.75+439456.06+8500+282251.85</f>
        <v>3468400.66</v>
      </c>
      <c r="Q15" s="13">
        <v>1073917.63</v>
      </c>
      <c r="R15" s="13">
        <f>292407.31+70000</f>
        <v>362407.31</v>
      </c>
      <c r="S15" s="13">
        <f>959592.51+1275483.88</f>
        <v>2235076.3899999997</v>
      </c>
      <c r="T15" s="13">
        <f>1658370.24+463823.52</f>
        <v>2122193.76</v>
      </c>
      <c r="U15" s="13">
        <f>1387700.75+429182.02+109752.1</f>
        <v>1926634.87</v>
      </c>
      <c r="V15" s="13">
        <f>2163599.16+845255.47+0+30660+0+49366.75</f>
        <v>3088881.38</v>
      </c>
      <c r="W15" s="13">
        <f t="shared" si="0"/>
        <v>23211559.67</v>
      </c>
      <c r="X15" s="13">
        <f t="shared" si="1"/>
        <v>-296519.700000003</v>
      </c>
    </row>
    <row r="16" spans="1:24" ht="27" customHeight="1">
      <c r="A16" s="18" t="s">
        <v>57</v>
      </c>
      <c r="B16" s="15" t="s">
        <v>35</v>
      </c>
      <c r="C16" s="15" t="s">
        <v>36</v>
      </c>
      <c r="D16" s="15" t="s">
        <v>60</v>
      </c>
      <c r="E16" s="15" t="s">
        <v>35</v>
      </c>
      <c r="F16" s="15" t="s">
        <v>17</v>
      </c>
      <c r="G16" s="15" t="s">
        <v>69</v>
      </c>
      <c r="H16" s="13">
        <f>391690+313.95</f>
        <v>392003.95</v>
      </c>
      <c r="I16" s="13"/>
      <c r="J16" s="13"/>
      <c r="K16" s="13"/>
      <c r="L16" s="13"/>
      <c r="M16" s="13">
        <f>I16+K16+L16</f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>
        <f t="shared" si="0"/>
        <v>0</v>
      </c>
      <c r="X16" s="13">
        <f t="shared" si="1"/>
        <v>392003.95</v>
      </c>
    </row>
    <row r="17" spans="1:24" ht="27" customHeight="1">
      <c r="A17" s="18"/>
      <c r="B17" s="15"/>
      <c r="C17" s="15"/>
      <c r="D17" s="15"/>
      <c r="E17" s="15"/>
      <c r="F17" s="15"/>
      <c r="G17" s="15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>
        <f>M17+N17+O17+P17+Q17+R17+S17+T17+U17</f>
        <v>0</v>
      </c>
      <c r="X17" s="13"/>
    </row>
    <row r="18" spans="1:24" ht="14.25" customHeight="1">
      <c r="A18" s="41"/>
      <c r="B18" s="42"/>
      <c r="C18" s="42"/>
      <c r="D18" s="42"/>
      <c r="E18" s="42"/>
      <c r="F18" s="42"/>
      <c r="G18" s="42"/>
      <c r="H18" s="23">
        <f>SUM(H11:H17)</f>
        <v>29360965.099999998</v>
      </c>
      <c r="I18" s="23">
        <f>SUM(I11:I17)</f>
        <v>712000</v>
      </c>
      <c r="J18" s="23"/>
      <c r="K18" s="23">
        <f aca="true" t="shared" si="2" ref="K18:X18">SUM(K11:K17)</f>
        <v>3052289.6300000004</v>
      </c>
      <c r="L18" s="23">
        <f t="shared" si="2"/>
        <v>2369586.7199999997</v>
      </c>
      <c r="M18" s="23">
        <f t="shared" si="2"/>
        <v>6133876.350000001</v>
      </c>
      <c r="N18" s="23">
        <f t="shared" si="2"/>
        <v>2028377.0499999998</v>
      </c>
      <c r="O18" s="23">
        <f t="shared" si="2"/>
        <v>3348873.1399999997</v>
      </c>
      <c r="P18" s="23">
        <f t="shared" si="2"/>
        <v>3771376.16</v>
      </c>
      <c r="Q18" s="23">
        <f t="shared" si="2"/>
        <v>1367123.21</v>
      </c>
      <c r="R18" s="23">
        <f t="shared" si="2"/>
        <v>1261380.28</v>
      </c>
      <c r="S18" s="23">
        <f t="shared" si="2"/>
        <v>2381283.9599999995</v>
      </c>
      <c r="T18" s="23">
        <f>SUM(T11:T17)</f>
        <v>2385528.59</v>
      </c>
      <c r="U18" s="23">
        <f>SUM(U11:U17)</f>
        <v>2958958.71</v>
      </c>
      <c r="V18" s="23">
        <f>SUM(V11:V17)</f>
        <v>3610214.1799999997</v>
      </c>
      <c r="W18" s="13">
        <f>M18+N18+O18+P18+Q18+R18+S18+T18+U18+V18</f>
        <v>29246991.630000003</v>
      </c>
      <c r="X18" s="23">
        <f t="shared" si="2"/>
        <v>113973.46999999677</v>
      </c>
    </row>
    <row r="19" spans="1:24" ht="14.25" customHeight="1">
      <c r="A19" s="69"/>
      <c r="B19" s="70"/>
      <c r="C19" s="70"/>
      <c r="D19" s="70"/>
      <c r="E19" s="70"/>
      <c r="F19" s="70"/>
      <c r="G19" s="70"/>
      <c r="H19" s="7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13"/>
      <c r="X19" s="23"/>
    </row>
    <row r="20" spans="1:24" ht="27" customHeight="1">
      <c r="A20" s="25" t="s">
        <v>14</v>
      </c>
      <c r="B20" s="15" t="s">
        <v>35</v>
      </c>
      <c r="C20" s="15" t="s">
        <v>36</v>
      </c>
      <c r="D20" s="15" t="s">
        <v>60</v>
      </c>
      <c r="E20" s="15" t="s">
        <v>35</v>
      </c>
      <c r="F20" s="15" t="s">
        <v>61</v>
      </c>
      <c r="G20" s="15" t="s">
        <v>18</v>
      </c>
      <c r="H20" s="13">
        <v>450000</v>
      </c>
      <c r="I20" s="13"/>
      <c r="J20" s="13"/>
      <c r="K20" s="13">
        <v>41722.2</v>
      </c>
      <c r="L20" s="13">
        <v>50352.4</v>
      </c>
      <c r="M20" s="13">
        <f>I20+K20+L20</f>
        <v>92074.6</v>
      </c>
      <c r="N20" s="13">
        <v>23675.3</v>
      </c>
      <c r="O20" s="13">
        <v>43950.9</v>
      </c>
      <c r="P20" s="13">
        <v>2715.65</v>
      </c>
      <c r="Q20" s="13"/>
      <c r="R20" s="13"/>
      <c r="S20" s="13">
        <v>20782.5</v>
      </c>
      <c r="T20" s="13">
        <v>19410.45</v>
      </c>
      <c r="U20" s="13">
        <v>12646.08</v>
      </c>
      <c r="V20" s="13">
        <v>2978</v>
      </c>
      <c r="W20" s="13">
        <f>M20+N20+O20+P20+Q20+R20+S20+T20+U20+V20</f>
        <v>218233.48</v>
      </c>
      <c r="X20" s="13">
        <f t="shared" si="1"/>
        <v>231766.52</v>
      </c>
    </row>
    <row r="21" spans="1:27" ht="15">
      <c r="A21" s="24" t="s">
        <v>19</v>
      </c>
      <c r="B21" s="43" t="s">
        <v>15</v>
      </c>
      <c r="C21" s="43" t="s">
        <v>40</v>
      </c>
      <c r="D21" s="43" t="s">
        <v>43</v>
      </c>
      <c r="E21" s="43" t="s">
        <v>16</v>
      </c>
      <c r="F21" s="12" t="s">
        <v>23</v>
      </c>
      <c r="G21" s="12" t="s">
        <v>67</v>
      </c>
      <c r="H21" s="16">
        <f>19772000-34000-8500-2279000-211943.22</f>
        <v>17238556.78</v>
      </c>
      <c r="I21" s="16">
        <f>88400+488400+103200</f>
        <v>680000</v>
      </c>
      <c r="J21" s="16"/>
      <c r="K21" s="16">
        <v>1557041.12</v>
      </c>
      <c r="L21" s="16">
        <f>1377338.48</f>
        <v>1377338.48</v>
      </c>
      <c r="M21" s="16">
        <f aca="true" t="shared" si="3" ref="M21:M47">I21+K21+L21</f>
        <v>3614379.6</v>
      </c>
      <c r="N21" s="16">
        <f>993997.99</f>
        <v>993997.99</v>
      </c>
      <c r="O21" s="16">
        <f>2352067.84</f>
        <v>2352067.84</v>
      </c>
      <c r="P21" s="16">
        <v>2738192.75</v>
      </c>
      <c r="Q21" s="16">
        <v>1073917.63</v>
      </c>
      <c r="R21" s="16">
        <v>292407.31</v>
      </c>
      <c r="S21" s="16">
        <v>959592.51</v>
      </c>
      <c r="T21" s="16">
        <v>1512701.24</v>
      </c>
      <c r="U21" s="16">
        <v>1537700.75</v>
      </c>
      <c r="V21" s="16">
        <v>2163599.16</v>
      </c>
      <c r="W21" s="13">
        <f aca="true" t="shared" si="4" ref="W21:W40">M21+N21+O21+P21+Q21+R21+S21+T21+U21+V21</f>
        <v>17238556.78</v>
      </c>
      <c r="X21" s="13">
        <f aca="true" t="shared" si="5" ref="X21:X30">H21-W21</f>
        <v>0</v>
      </c>
      <c r="Y21" s="43" t="s">
        <v>40</v>
      </c>
      <c r="Z21" s="57"/>
      <c r="AA21" s="57"/>
    </row>
    <row r="22" spans="1:25" ht="15">
      <c r="A22" s="24" t="s">
        <v>19</v>
      </c>
      <c r="B22" s="43" t="s">
        <v>15</v>
      </c>
      <c r="C22" s="43" t="s">
        <v>40</v>
      </c>
      <c r="D22" s="43" t="s">
        <v>44</v>
      </c>
      <c r="E22" s="43" t="s">
        <v>16</v>
      </c>
      <c r="F22" s="12" t="s">
        <v>23</v>
      </c>
      <c r="G22" s="12" t="s">
        <v>42</v>
      </c>
      <c r="H22" s="16">
        <f>823400-823400+230000+200000+200000+849915.58</f>
        <v>1479915.58</v>
      </c>
      <c r="I22" s="16"/>
      <c r="J22" s="16"/>
      <c r="K22" s="16"/>
      <c r="L22" s="16"/>
      <c r="M22" s="16">
        <f t="shared" si="3"/>
        <v>0</v>
      </c>
      <c r="N22" s="16"/>
      <c r="O22" s="16"/>
      <c r="P22" s="16"/>
      <c r="Q22" s="16"/>
      <c r="R22" s="16">
        <v>874532.4</v>
      </c>
      <c r="S22" s="16">
        <v>73659.71</v>
      </c>
      <c r="T22" s="16">
        <v>73900</v>
      </c>
      <c r="U22" s="16">
        <v>180380</v>
      </c>
      <c r="V22" s="16">
        <v>277443.47</v>
      </c>
      <c r="W22" s="13">
        <f t="shared" si="4"/>
        <v>1479915.5799999998</v>
      </c>
      <c r="X22" s="13">
        <f t="shared" si="5"/>
        <v>0</v>
      </c>
      <c r="Y22" s="43" t="s">
        <v>40</v>
      </c>
    </row>
    <row r="23" spans="1:27" ht="30">
      <c r="A23" s="14" t="s">
        <v>94</v>
      </c>
      <c r="B23" s="43" t="s">
        <v>15</v>
      </c>
      <c r="C23" s="43" t="s">
        <v>40</v>
      </c>
      <c r="D23" s="43" t="s">
        <v>44</v>
      </c>
      <c r="E23" s="43" t="s">
        <v>16</v>
      </c>
      <c r="F23" s="12" t="s">
        <v>53</v>
      </c>
      <c r="G23" s="12" t="s">
        <v>67</v>
      </c>
      <c r="H23" s="16">
        <v>10000</v>
      </c>
      <c r="I23" s="16"/>
      <c r="J23" s="16"/>
      <c r="K23" s="16"/>
      <c r="L23" s="16"/>
      <c r="M23" s="16">
        <f t="shared" si="3"/>
        <v>0</v>
      </c>
      <c r="N23" s="16"/>
      <c r="O23" s="16"/>
      <c r="P23" s="16"/>
      <c r="Q23" s="16"/>
      <c r="R23" s="16"/>
      <c r="S23" s="16"/>
      <c r="T23" s="16"/>
      <c r="U23" s="16"/>
      <c r="V23" s="16"/>
      <c r="W23" s="13">
        <f t="shared" si="4"/>
        <v>0</v>
      </c>
      <c r="X23" s="13">
        <f t="shared" si="5"/>
        <v>10000</v>
      </c>
      <c r="Y23" s="43" t="s">
        <v>40</v>
      </c>
      <c r="AA23" s="57"/>
    </row>
    <row r="24" spans="1:27" ht="60">
      <c r="A24" s="14" t="s">
        <v>20</v>
      </c>
      <c r="B24" s="43" t="s">
        <v>15</v>
      </c>
      <c r="C24" s="43" t="s">
        <v>40</v>
      </c>
      <c r="D24" s="43" t="s">
        <v>43</v>
      </c>
      <c r="E24" s="43" t="s">
        <v>16</v>
      </c>
      <c r="F24" s="12" t="s">
        <v>24</v>
      </c>
      <c r="G24" s="12" t="s">
        <v>67</v>
      </c>
      <c r="H24" s="16">
        <f>5971100-690000+177372.19</f>
        <v>5458472.19</v>
      </c>
      <c r="I24" s="16"/>
      <c r="J24" s="16"/>
      <c r="K24" s="16">
        <f>477727.35</f>
        <v>477727.35</v>
      </c>
      <c r="L24" s="16">
        <v>466882.69</v>
      </c>
      <c r="M24" s="16">
        <f t="shared" si="3"/>
        <v>944610.04</v>
      </c>
      <c r="N24" s="16">
        <v>442400.12</v>
      </c>
      <c r="O24" s="16">
        <v>552592.08</v>
      </c>
      <c r="P24" s="16">
        <v>439456.06</v>
      </c>
      <c r="Q24" s="16"/>
      <c r="R24" s="16">
        <v>70000</v>
      </c>
      <c r="S24" s="16">
        <v>1275483.88</v>
      </c>
      <c r="T24" s="16">
        <v>459492.52</v>
      </c>
      <c r="U24" s="16">
        <v>429182.02</v>
      </c>
      <c r="V24" s="16">
        <v>845255.47</v>
      </c>
      <c r="W24" s="13">
        <f t="shared" si="4"/>
        <v>5458472.19</v>
      </c>
      <c r="X24" s="13">
        <f t="shared" si="5"/>
        <v>0</v>
      </c>
      <c r="Y24" s="43" t="s">
        <v>40</v>
      </c>
      <c r="Z24" s="57"/>
      <c r="AA24" s="57"/>
    </row>
    <row r="25" spans="1:27" ht="33" customHeight="1">
      <c r="A25" s="14" t="s">
        <v>20</v>
      </c>
      <c r="B25" s="43" t="s">
        <v>15</v>
      </c>
      <c r="C25" s="43" t="s">
        <v>40</v>
      </c>
      <c r="D25" s="43" t="s">
        <v>44</v>
      </c>
      <c r="E25" s="43" t="s">
        <v>16</v>
      </c>
      <c r="F25" s="12" t="s">
        <v>24</v>
      </c>
      <c r="G25" s="12" t="s">
        <v>42</v>
      </c>
      <c r="H25" s="16">
        <f>294000-294000+70000+120734.23</f>
        <v>190734.22999999998</v>
      </c>
      <c r="I25" s="16"/>
      <c r="J25" s="16"/>
      <c r="K25" s="16"/>
      <c r="L25" s="16"/>
      <c r="M25" s="16">
        <f t="shared" si="3"/>
        <v>0</v>
      </c>
      <c r="N25" s="16"/>
      <c r="O25" s="16"/>
      <c r="P25" s="16"/>
      <c r="Q25" s="16"/>
      <c r="R25" s="16"/>
      <c r="S25" s="16">
        <v>13569.8</v>
      </c>
      <c r="T25" s="16">
        <v>13718.83</v>
      </c>
      <c r="U25" s="16">
        <v>56407.6</v>
      </c>
      <c r="V25" s="16">
        <v>107038</v>
      </c>
      <c r="W25" s="13">
        <f t="shared" si="4"/>
        <v>190734.22999999998</v>
      </c>
      <c r="X25" s="13">
        <f t="shared" si="5"/>
        <v>0</v>
      </c>
      <c r="Y25" s="43" t="s">
        <v>40</v>
      </c>
      <c r="AA25" s="57"/>
    </row>
    <row r="26" spans="1:25" ht="15">
      <c r="A26" s="14" t="s">
        <v>96</v>
      </c>
      <c r="B26" s="43" t="s">
        <v>15</v>
      </c>
      <c r="C26" s="15" t="s">
        <v>49</v>
      </c>
      <c r="D26" s="43" t="s">
        <v>44</v>
      </c>
      <c r="E26" s="43" t="s">
        <v>16</v>
      </c>
      <c r="F26" s="12" t="s">
        <v>25</v>
      </c>
      <c r="G26" s="12" t="s">
        <v>42</v>
      </c>
      <c r="H26" s="13">
        <v>36500</v>
      </c>
      <c r="I26" s="13"/>
      <c r="J26" s="16"/>
      <c r="K26" s="13"/>
      <c r="L26" s="13"/>
      <c r="M26" s="16"/>
      <c r="N26" s="16">
        <v>943.23</v>
      </c>
      <c r="O26" s="16">
        <v>2260.33</v>
      </c>
      <c r="P26" s="16"/>
      <c r="Q26" s="16">
        <v>3706.63</v>
      </c>
      <c r="R26" s="16"/>
      <c r="S26" s="16">
        <v>2456.11</v>
      </c>
      <c r="T26" s="16"/>
      <c r="U26" s="16">
        <v>5384.17</v>
      </c>
      <c r="V26" s="16">
        <v>1767.11</v>
      </c>
      <c r="W26" s="13">
        <f t="shared" si="4"/>
        <v>16517.58</v>
      </c>
      <c r="X26" s="13">
        <f t="shared" si="5"/>
        <v>19982.42</v>
      </c>
      <c r="Y26" s="15" t="s">
        <v>49</v>
      </c>
    </row>
    <row r="27" spans="1:25" ht="15">
      <c r="A27" s="24" t="s">
        <v>91</v>
      </c>
      <c r="B27" s="43" t="s">
        <v>15</v>
      </c>
      <c r="C27" s="43" t="s">
        <v>40</v>
      </c>
      <c r="D27" s="43" t="s">
        <v>62</v>
      </c>
      <c r="E27" s="43" t="s">
        <v>16</v>
      </c>
      <c r="F27" s="12" t="s">
        <v>25</v>
      </c>
      <c r="G27" s="12" t="s">
        <v>42</v>
      </c>
      <c r="H27" s="13">
        <v>6250</v>
      </c>
      <c r="I27" s="13"/>
      <c r="J27" s="16"/>
      <c r="K27" s="13"/>
      <c r="L27" s="13"/>
      <c r="M27" s="16">
        <f t="shared" si="3"/>
        <v>0</v>
      </c>
      <c r="N27" s="16"/>
      <c r="O27" s="16">
        <v>6250</v>
      </c>
      <c r="P27" s="16"/>
      <c r="Q27" s="16"/>
      <c r="R27" s="16"/>
      <c r="S27" s="16"/>
      <c r="T27" s="16"/>
      <c r="U27" s="16"/>
      <c r="V27" s="16"/>
      <c r="W27" s="13">
        <f>M27+N27+O27+P27+Q27+R27+S27+T27+U27+V27</f>
        <v>6250</v>
      </c>
      <c r="X27" s="13">
        <f t="shared" si="5"/>
        <v>0</v>
      </c>
      <c r="Y27" s="43" t="s">
        <v>40</v>
      </c>
    </row>
    <row r="28" spans="1:25" ht="15">
      <c r="A28" s="24"/>
      <c r="B28" s="43"/>
      <c r="C28" s="43"/>
      <c r="D28" s="43"/>
      <c r="E28" s="43"/>
      <c r="F28" s="12"/>
      <c r="G28" s="12"/>
      <c r="H28" s="13">
        <f>V28</f>
        <v>24410</v>
      </c>
      <c r="I28" s="13"/>
      <c r="J28" s="16"/>
      <c r="K28" s="13"/>
      <c r="L28" s="13"/>
      <c r="M28" s="16"/>
      <c r="N28" s="16"/>
      <c r="O28" s="16"/>
      <c r="P28" s="16"/>
      <c r="Q28" s="16"/>
      <c r="R28" s="16"/>
      <c r="S28" s="16"/>
      <c r="T28" s="16"/>
      <c r="U28" s="16"/>
      <c r="V28" s="16">
        <v>24410</v>
      </c>
      <c r="W28" s="13">
        <f>M28+N28+O28+P28+Q28+R28+S28+T28+U28+V28</f>
        <v>24410</v>
      </c>
      <c r="X28" s="13">
        <f t="shared" si="5"/>
        <v>0</v>
      </c>
      <c r="Y28" s="43"/>
    </row>
    <row r="29" spans="1:25" ht="15">
      <c r="A29" s="24"/>
      <c r="B29" s="43"/>
      <c r="C29" s="43"/>
      <c r="D29" s="43"/>
      <c r="E29" s="43"/>
      <c r="F29" s="12"/>
      <c r="G29" s="12"/>
      <c r="H29" s="13">
        <f>V29</f>
        <v>30660</v>
      </c>
      <c r="I29" s="13"/>
      <c r="J29" s="16"/>
      <c r="K29" s="13"/>
      <c r="L29" s="13"/>
      <c r="M29" s="16"/>
      <c r="N29" s="16"/>
      <c r="O29" s="16"/>
      <c r="P29" s="16"/>
      <c r="Q29" s="16"/>
      <c r="R29" s="16"/>
      <c r="S29" s="16"/>
      <c r="T29" s="16"/>
      <c r="U29" s="16"/>
      <c r="V29" s="16">
        <f>15330*2</f>
        <v>30660</v>
      </c>
      <c r="W29" s="13">
        <f>M29+N29+O29+P29+Q29+R29+S29+T29+U29+V29</f>
        <v>30660</v>
      </c>
      <c r="X29" s="13">
        <f t="shared" si="5"/>
        <v>0</v>
      </c>
      <c r="Y29" s="43"/>
    </row>
    <row r="30" spans="1:25" ht="15">
      <c r="A30" s="24" t="s">
        <v>27</v>
      </c>
      <c r="B30" s="15"/>
      <c r="C30" s="15"/>
      <c r="D30" s="15"/>
      <c r="E30" s="43"/>
      <c r="F30" s="15"/>
      <c r="G30" s="15"/>
      <c r="H30" s="16"/>
      <c r="I30" s="16"/>
      <c r="J30" s="16"/>
      <c r="K30" s="16"/>
      <c r="L30" s="16"/>
      <c r="M30" s="16">
        <f t="shared" si="3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3">
        <f t="shared" si="4"/>
        <v>0</v>
      </c>
      <c r="X30" s="13">
        <f t="shared" si="5"/>
        <v>0</v>
      </c>
      <c r="Y30" s="15"/>
    </row>
    <row r="31" spans="1:25" ht="15">
      <c r="A31" s="25" t="s">
        <v>28</v>
      </c>
      <c r="B31" s="15" t="s">
        <v>15</v>
      </c>
      <c r="C31" s="15" t="s">
        <v>40</v>
      </c>
      <c r="D31" s="15" t="s">
        <v>44</v>
      </c>
      <c r="E31" s="43" t="s">
        <v>16</v>
      </c>
      <c r="F31" s="15" t="s">
        <v>26</v>
      </c>
      <c r="G31" s="12" t="s">
        <v>42</v>
      </c>
      <c r="H31" s="13">
        <f>2703400-108163.12-400000+325869.26</f>
        <v>2521106.1399999997</v>
      </c>
      <c r="I31" s="13"/>
      <c r="J31" s="16"/>
      <c r="K31" s="13">
        <v>580298.35</v>
      </c>
      <c r="L31" s="13">
        <v>455761.41</v>
      </c>
      <c r="M31" s="16">
        <f t="shared" si="3"/>
        <v>1036059.76</v>
      </c>
      <c r="N31" s="16">
        <v>312171.5</v>
      </c>
      <c r="O31" s="16">
        <v>202819.26</v>
      </c>
      <c r="P31" s="16">
        <v>75170.36</v>
      </c>
      <c r="Q31" s="16"/>
      <c r="R31" s="16"/>
      <c r="S31" s="16"/>
      <c r="T31" s="16">
        <v>150000</v>
      </c>
      <c r="U31" s="16">
        <v>722000</v>
      </c>
      <c r="V31" s="16"/>
      <c r="W31" s="13">
        <f t="shared" si="4"/>
        <v>2498220.88</v>
      </c>
      <c r="X31" s="13">
        <f aca="true" t="shared" si="6" ref="X31:X52">H31-W31</f>
        <v>22885.259999999776</v>
      </c>
      <c r="Y31" s="15" t="s">
        <v>40</v>
      </c>
    </row>
    <row r="32" spans="1:25" ht="15">
      <c r="A32" s="25" t="s">
        <v>92</v>
      </c>
      <c r="B32" s="15" t="s">
        <v>15</v>
      </c>
      <c r="C32" s="15" t="s">
        <v>40</v>
      </c>
      <c r="D32" s="15" t="s">
        <v>44</v>
      </c>
      <c r="E32" s="43" t="s">
        <v>16</v>
      </c>
      <c r="F32" s="15" t="s">
        <v>26</v>
      </c>
      <c r="G32" s="12" t="s">
        <v>42</v>
      </c>
      <c r="H32" s="13">
        <f>56200-31669.71</f>
        <v>24530.29</v>
      </c>
      <c r="I32" s="13"/>
      <c r="J32" s="16"/>
      <c r="K32" s="13"/>
      <c r="L32" s="13">
        <v>8767.04</v>
      </c>
      <c r="M32" s="16">
        <f t="shared" si="3"/>
        <v>8767.04</v>
      </c>
      <c r="N32" s="16">
        <v>5961.93</v>
      </c>
      <c r="O32" s="16">
        <v>2975.66</v>
      </c>
      <c r="P32" s="16">
        <v>2780.52</v>
      </c>
      <c r="Q32" s="16">
        <v>2000.02</v>
      </c>
      <c r="R32" s="16"/>
      <c r="S32" s="16">
        <v>943.9</v>
      </c>
      <c r="T32" s="16"/>
      <c r="U32" s="16"/>
      <c r="V32" s="16">
        <v>1101.22</v>
      </c>
      <c r="W32" s="13">
        <f t="shared" si="4"/>
        <v>24530.290000000005</v>
      </c>
      <c r="X32" s="13">
        <f t="shared" si="6"/>
        <v>0</v>
      </c>
      <c r="Y32" s="15" t="s">
        <v>40</v>
      </c>
    </row>
    <row r="33" spans="1:25" ht="15">
      <c r="A33" s="25" t="s">
        <v>29</v>
      </c>
      <c r="B33" s="15" t="s">
        <v>15</v>
      </c>
      <c r="C33" s="15" t="s">
        <v>40</v>
      </c>
      <c r="D33" s="15" t="s">
        <v>44</v>
      </c>
      <c r="E33" s="43" t="s">
        <v>16</v>
      </c>
      <c r="F33" s="15" t="s">
        <v>26</v>
      </c>
      <c r="G33" s="12" t="s">
        <v>42</v>
      </c>
      <c r="H33" s="13">
        <f>296400-41836.88-91215.55</f>
        <v>163347.57</v>
      </c>
      <c r="I33" s="13"/>
      <c r="J33" s="16"/>
      <c r="K33" s="13">
        <f>42000</f>
        <v>42000</v>
      </c>
      <c r="L33" s="13">
        <v>21347.57</v>
      </c>
      <c r="M33" s="16">
        <f t="shared" si="3"/>
        <v>63347.57</v>
      </c>
      <c r="N33" s="16">
        <v>10000</v>
      </c>
      <c r="O33" s="16"/>
      <c r="P33" s="16"/>
      <c r="Q33" s="16"/>
      <c r="R33" s="16"/>
      <c r="S33" s="16">
        <v>18000</v>
      </c>
      <c r="T33" s="16">
        <v>22000</v>
      </c>
      <c r="U33" s="16">
        <v>25000</v>
      </c>
      <c r="V33" s="16">
        <v>25000</v>
      </c>
      <c r="W33" s="13">
        <f t="shared" si="4"/>
        <v>163347.57</v>
      </c>
      <c r="X33" s="13">
        <f t="shared" si="6"/>
        <v>0</v>
      </c>
      <c r="Y33" s="15" t="s">
        <v>40</v>
      </c>
    </row>
    <row r="34" spans="1:25" ht="45">
      <c r="A34" s="14" t="s">
        <v>39</v>
      </c>
      <c r="B34" s="43" t="s">
        <v>15</v>
      </c>
      <c r="C34" s="43" t="s">
        <v>40</v>
      </c>
      <c r="D34" s="43" t="s">
        <v>44</v>
      </c>
      <c r="E34" s="43" t="s">
        <v>16</v>
      </c>
      <c r="F34" s="12" t="s">
        <v>30</v>
      </c>
      <c r="G34" s="12" t="s">
        <v>42</v>
      </c>
      <c r="H34" s="16">
        <f>455200-35575.49-273000</f>
        <v>146624.51</v>
      </c>
      <c r="I34" s="16"/>
      <c r="J34" s="16"/>
      <c r="K34" s="16"/>
      <c r="L34" s="16">
        <v>35856</v>
      </c>
      <c r="M34" s="16">
        <f t="shared" si="3"/>
        <v>35856</v>
      </c>
      <c r="N34" s="16">
        <v>17184.6</v>
      </c>
      <c r="O34" s="16">
        <v>20480</v>
      </c>
      <c r="P34" s="16">
        <v>17775.6</v>
      </c>
      <c r="Q34" s="16">
        <v>34297.32</v>
      </c>
      <c r="R34" s="16"/>
      <c r="S34" s="16">
        <v>20739.32</v>
      </c>
      <c r="T34" s="16"/>
      <c r="U34" s="16"/>
      <c r="V34" s="16"/>
      <c r="W34" s="13">
        <f t="shared" si="4"/>
        <v>146332.84000000003</v>
      </c>
      <c r="X34" s="13">
        <f t="shared" si="6"/>
        <v>291.6699999999837</v>
      </c>
      <c r="Y34" s="43" t="s">
        <v>40</v>
      </c>
    </row>
    <row r="35" spans="1:25" ht="30">
      <c r="A35" s="14" t="s">
        <v>93</v>
      </c>
      <c r="B35" s="43" t="s">
        <v>15</v>
      </c>
      <c r="C35" s="43" t="s">
        <v>40</v>
      </c>
      <c r="D35" s="43" t="s">
        <v>44</v>
      </c>
      <c r="E35" s="43" t="s">
        <v>16</v>
      </c>
      <c r="F35" s="12" t="s">
        <v>31</v>
      </c>
      <c r="G35" s="12" t="s">
        <v>42</v>
      </c>
      <c r="H35" s="58">
        <f>333500+35575.49-42000</f>
        <v>327075.49</v>
      </c>
      <c r="I35" s="16"/>
      <c r="J35" s="16"/>
      <c r="K35" s="16">
        <v>16769</v>
      </c>
      <c r="L35" s="16">
        <v>31650.34</v>
      </c>
      <c r="M35" s="16">
        <f t="shared" si="3"/>
        <v>48419.34</v>
      </c>
      <c r="N35" s="16">
        <v>13002.97</v>
      </c>
      <c r="O35" s="16">
        <v>204171.1</v>
      </c>
      <c r="P35" s="16">
        <v>20455.26</v>
      </c>
      <c r="Q35" s="16">
        <v>11242.97</v>
      </c>
      <c r="R35" s="16"/>
      <c r="S35" s="16">
        <v>10328.74</v>
      </c>
      <c r="T35" s="16"/>
      <c r="U35" s="16">
        <v>17104.57</v>
      </c>
      <c r="V35" s="16">
        <f>72570-70770</f>
        <v>1800</v>
      </c>
      <c r="W35" s="13">
        <f t="shared" si="4"/>
        <v>326524.95</v>
      </c>
      <c r="X35" s="13">
        <f t="shared" si="6"/>
        <v>550.539999999979</v>
      </c>
      <c r="Y35" s="43" t="s">
        <v>40</v>
      </c>
    </row>
    <row r="36" spans="1:25" ht="20.25" customHeight="1">
      <c r="A36" s="14" t="s">
        <v>81</v>
      </c>
      <c r="B36" s="43" t="s">
        <v>15</v>
      </c>
      <c r="C36" s="43" t="s">
        <v>40</v>
      </c>
      <c r="D36" s="43" t="s">
        <v>48</v>
      </c>
      <c r="E36" s="43" t="s">
        <v>16</v>
      </c>
      <c r="F36" s="12" t="s">
        <v>31</v>
      </c>
      <c r="G36" s="12" t="s">
        <v>42</v>
      </c>
      <c r="H36" s="59">
        <f>46524+69972+1354.47</f>
        <v>117850.47</v>
      </c>
      <c r="I36" s="13"/>
      <c r="J36" s="16"/>
      <c r="K36" s="13"/>
      <c r="L36" s="13"/>
      <c r="M36" s="16"/>
      <c r="N36" s="16"/>
      <c r="O36" s="16"/>
      <c r="P36" s="16">
        <v>54876.29</v>
      </c>
      <c r="Q36" s="16">
        <v>38533.61</v>
      </c>
      <c r="R36" s="16">
        <v>24440.57</v>
      </c>
      <c r="S36" s="16"/>
      <c r="T36" s="16"/>
      <c r="U36" s="16"/>
      <c r="V36" s="16"/>
      <c r="W36" s="13">
        <f>M36+N36+O36+P36+Q36+R36+S36+T36+U36+V36</f>
        <v>117850.47</v>
      </c>
      <c r="X36" s="13">
        <f>H36-W36</f>
        <v>0</v>
      </c>
      <c r="Y36" s="43"/>
    </row>
    <row r="37" spans="1:25" ht="45">
      <c r="A37" s="14" t="s">
        <v>77</v>
      </c>
      <c r="B37" s="43" t="s">
        <v>15</v>
      </c>
      <c r="C37" s="15" t="s">
        <v>49</v>
      </c>
      <c r="D37" s="43" t="s">
        <v>43</v>
      </c>
      <c r="E37" s="43" t="s">
        <v>16</v>
      </c>
      <c r="F37" s="12" t="s">
        <v>31</v>
      </c>
      <c r="G37" s="12" t="s">
        <v>67</v>
      </c>
      <c r="H37" s="58">
        <f>34000+8500+70770</f>
        <v>113270</v>
      </c>
      <c r="I37" s="16"/>
      <c r="J37" s="16"/>
      <c r="K37" s="16"/>
      <c r="L37" s="16"/>
      <c r="M37" s="16">
        <f t="shared" si="3"/>
        <v>0</v>
      </c>
      <c r="N37" s="16">
        <v>34000</v>
      </c>
      <c r="O37" s="16"/>
      <c r="P37" s="16"/>
      <c r="Q37" s="16">
        <v>8500</v>
      </c>
      <c r="R37" s="16"/>
      <c r="S37" s="16"/>
      <c r="T37" s="16"/>
      <c r="U37" s="16"/>
      <c r="V37" s="16">
        <v>70770</v>
      </c>
      <c r="W37" s="13">
        <f t="shared" si="4"/>
        <v>113270</v>
      </c>
      <c r="X37" s="13">
        <f t="shared" si="6"/>
        <v>0</v>
      </c>
      <c r="Y37" s="15" t="s">
        <v>49</v>
      </c>
    </row>
    <row r="38" spans="1:25" ht="15">
      <c r="A38" s="14"/>
      <c r="B38" s="43"/>
      <c r="C38" s="43"/>
      <c r="D38" s="43"/>
      <c r="E38" s="43"/>
      <c r="F38" s="12"/>
      <c r="G38" s="12"/>
      <c r="H38" s="59"/>
      <c r="I38" s="13"/>
      <c r="J38" s="16"/>
      <c r="K38" s="13"/>
      <c r="L38" s="13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3">
        <f t="shared" si="4"/>
        <v>0</v>
      </c>
      <c r="X38" s="13">
        <f t="shared" si="6"/>
        <v>0</v>
      </c>
      <c r="Y38" s="43" t="s">
        <v>40</v>
      </c>
    </row>
    <row r="39" spans="1:25" ht="15">
      <c r="A39" s="24" t="s">
        <v>21</v>
      </c>
      <c r="B39" s="43" t="s">
        <v>15</v>
      </c>
      <c r="C39" s="43" t="s">
        <v>40</v>
      </c>
      <c r="D39" s="43" t="s">
        <v>44</v>
      </c>
      <c r="E39" s="43" t="s">
        <v>16</v>
      </c>
      <c r="F39" s="12" t="s">
        <v>32</v>
      </c>
      <c r="G39" s="12" t="s">
        <v>42</v>
      </c>
      <c r="H39" s="16">
        <v>660000</v>
      </c>
      <c r="I39" s="16">
        <v>15000</v>
      </c>
      <c r="J39" s="16"/>
      <c r="K39" s="16">
        <f>165233+975+10701</f>
        <v>176909</v>
      </c>
      <c r="L39" s="16">
        <v>172988</v>
      </c>
      <c r="M39" s="16">
        <f t="shared" si="3"/>
        <v>364897</v>
      </c>
      <c r="N39" s="16">
        <v>170595.58</v>
      </c>
      <c r="O39" s="16"/>
      <c r="P39" s="16"/>
      <c r="Q39" s="16">
        <f>182129-57621.58</f>
        <v>124507.42</v>
      </c>
      <c r="R39" s="16"/>
      <c r="S39" s="16"/>
      <c r="T39" s="16"/>
      <c r="U39" s="16"/>
      <c r="V39" s="16"/>
      <c r="W39" s="13">
        <f t="shared" si="4"/>
        <v>660000</v>
      </c>
      <c r="X39" s="13">
        <f t="shared" si="6"/>
        <v>0</v>
      </c>
      <c r="Y39" s="43" t="s">
        <v>40</v>
      </c>
    </row>
    <row r="40" spans="1:25" ht="15">
      <c r="A40" s="24" t="s">
        <v>21</v>
      </c>
      <c r="B40" s="43" t="s">
        <v>15</v>
      </c>
      <c r="C40" s="43" t="s">
        <v>40</v>
      </c>
      <c r="D40" s="43" t="s">
        <v>44</v>
      </c>
      <c r="E40" s="43" t="s">
        <v>16</v>
      </c>
      <c r="F40" s="12" t="s">
        <v>32</v>
      </c>
      <c r="G40" s="12" t="s">
        <v>42</v>
      </c>
      <c r="H40" s="16">
        <f>122000+116990.6-181000</f>
        <v>57990.600000000006</v>
      </c>
      <c r="I40" s="16"/>
      <c r="J40" s="16"/>
      <c r="K40" s="16"/>
      <c r="L40" s="16"/>
      <c r="M40" s="16">
        <f t="shared" si="3"/>
        <v>0</v>
      </c>
      <c r="N40" s="16"/>
      <c r="O40" s="16">
        <v>600</v>
      </c>
      <c r="P40" s="16"/>
      <c r="Q40" s="16">
        <f>57621.58-260</f>
        <v>57361.58</v>
      </c>
      <c r="R40" s="16"/>
      <c r="S40" s="16"/>
      <c r="T40" s="16"/>
      <c r="U40" s="16"/>
      <c r="V40" s="16"/>
      <c r="W40" s="13">
        <f t="shared" si="4"/>
        <v>57961.58</v>
      </c>
      <c r="X40" s="13">
        <f t="shared" si="6"/>
        <v>29.020000000004075</v>
      </c>
      <c r="Y40" s="43" t="s">
        <v>40</v>
      </c>
    </row>
    <row r="41" spans="1:25" ht="15">
      <c r="A41" s="14"/>
      <c r="B41" s="43"/>
      <c r="C41" s="43"/>
      <c r="D41" s="43"/>
      <c r="E41" s="43"/>
      <c r="F41" s="12"/>
      <c r="G41" s="12"/>
      <c r="H41" s="16"/>
      <c r="I41" s="16"/>
      <c r="J41" s="16"/>
      <c r="K41" s="16"/>
      <c r="L41" s="16"/>
      <c r="M41" s="16">
        <f t="shared" si="3"/>
        <v>0</v>
      </c>
      <c r="N41" s="16"/>
      <c r="O41" s="16"/>
      <c r="P41" s="16"/>
      <c r="Q41" s="16"/>
      <c r="R41" s="16"/>
      <c r="S41" s="16"/>
      <c r="T41" s="16"/>
      <c r="U41" s="16"/>
      <c r="V41" s="16"/>
      <c r="W41" s="13">
        <f>M41+N41+O41+P41+Q41+R41+S41+T41+U41</f>
        <v>0</v>
      </c>
      <c r="X41" s="13">
        <f t="shared" si="6"/>
        <v>0</v>
      </c>
      <c r="Y41" s="43"/>
    </row>
    <row r="42" spans="1:25" ht="30">
      <c r="A42" s="19" t="s">
        <v>34</v>
      </c>
      <c r="B42" s="15" t="s">
        <v>15</v>
      </c>
      <c r="C42" s="15" t="s">
        <v>40</v>
      </c>
      <c r="D42" s="15" t="s">
        <v>44</v>
      </c>
      <c r="E42" s="43" t="s">
        <v>16</v>
      </c>
      <c r="F42" s="12" t="s">
        <v>46</v>
      </c>
      <c r="G42" s="12" t="s">
        <v>42</v>
      </c>
      <c r="H42" s="16">
        <f>4800-4800</f>
        <v>0</v>
      </c>
      <c r="I42" s="55"/>
      <c r="J42" s="55"/>
      <c r="K42" s="55"/>
      <c r="L42" s="55"/>
      <c r="M42" s="55">
        <f t="shared" si="3"/>
        <v>0</v>
      </c>
      <c r="N42" s="55"/>
      <c r="O42" s="55"/>
      <c r="P42" s="55"/>
      <c r="Q42" s="55"/>
      <c r="R42" s="55"/>
      <c r="S42" s="16"/>
      <c r="T42" s="16"/>
      <c r="U42" s="16"/>
      <c r="V42" s="16"/>
      <c r="W42" s="13">
        <f aca="true" t="shared" si="7" ref="W42:W52">M42+N42+O42+P42+Q42+R42+S42+T42+U42+V42</f>
        <v>0</v>
      </c>
      <c r="X42" s="13">
        <f t="shared" si="6"/>
        <v>0</v>
      </c>
      <c r="Y42" s="15" t="s">
        <v>40</v>
      </c>
    </row>
    <row r="43" spans="1:25" ht="15">
      <c r="A43" s="19" t="s">
        <v>72</v>
      </c>
      <c r="B43" s="15" t="s">
        <v>15</v>
      </c>
      <c r="C43" s="15" t="s">
        <v>40</v>
      </c>
      <c r="D43" s="15" t="s">
        <v>44</v>
      </c>
      <c r="E43" s="43" t="s">
        <v>16</v>
      </c>
      <c r="F43" s="15" t="s">
        <v>59</v>
      </c>
      <c r="G43" s="15" t="s">
        <v>42</v>
      </c>
      <c r="H43" s="16">
        <f>150000-15000</f>
        <v>135000</v>
      </c>
      <c r="I43" s="54"/>
      <c r="J43" s="55"/>
      <c r="K43" s="54"/>
      <c r="L43" s="54">
        <v>17540</v>
      </c>
      <c r="M43" s="55">
        <f t="shared" si="3"/>
        <v>17540</v>
      </c>
      <c r="N43" s="55">
        <v>11266</v>
      </c>
      <c r="O43" s="55">
        <v>12250</v>
      </c>
      <c r="P43" s="55">
        <v>11760</v>
      </c>
      <c r="Q43" s="55">
        <v>2625</v>
      </c>
      <c r="R43" s="55"/>
      <c r="S43" s="16">
        <v>1155</v>
      </c>
      <c r="T43" s="16"/>
      <c r="U43" s="16">
        <v>26067.5</v>
      </c>
      <c r="V43" s="16">
        <v>10000</v>
      </c>
      <c r="W43" s="13">
        <f t="shared" si="7"/>
        <v>92663.5</v>
      </c>
      <c r="X43" s="16">
        <f t="shared" si="6"/>
        <v>42336.5</v>
      </c>
      <c r="Y43" s="15" t="s">
        <v>40</v>
      </c>
    </row>
    <row r="44" spans="1:25" ht="60">
      <c r="A44" s="50" t="s">
        <v>22</v>
      </c>
      <c r="B44" s="51" t="s">
        <v>15</v>
      </c>
      <c r="C44" s="52" t="s">
        <v>40</v>
      </c>
      <c r="D44" s="51" t="s">
        <v>44</v>
      </c>
      <c r="E44" s="53" t="s">
        <v>16</v>
      </c>
      <c r="F44" s="53" t="s">
        <v>45</v>
      </c>
      <c r="G44" s="53" t="s">
        <v>42</v>
      </c>
      <c r="H44" s="13">
        <f>220000-9064.64-2920-97190.6-40938.96</f>
        <v>69885.79999999999</v>
      </c>
      <c r="I44" s="54"/>
      <c r="J44" s="55"/>
      <c r="K44" s="54"/>
      <c r="L44" s="54"/>
      <c r="M44" s="55">
        <f t="shared" si="3"/>
        <v>0</v>
      </c>
      <c r="N44" s="55"/>
      <c r="O44" s="55">
        <v>9260</v>
      </c>
      <c r="P44" s="55">
        <v>9990</v>
      </c>
      <c r="Q44" s="55">
        <v>21988</v>
      </c>
      <c r="R44" s="55"/>
      <c r="S44" s="16">
        <v>5354.99</v>
      </c>
      <c r="T44" s="16">
        <v>3716</v>
      </c>
      <c r="U44" s="16"/>
      <c r="V44" s="16">
        <v>2003</v>
      </c>
      <c r="W44" s="13">
        <f t="shared" si="7"/>
        <v>52311.99</v>
      </c>
      <c r="X44" s="13">
        <f t="shared" si="6"/>
        <v>17573.80999999999</v>
      </c>
      <c r="Y44" s="52" t="s">
        <v>40</v>
      </c>
    </row>
    <row r="45" spans="1:25" ht="30">
      <c r="A45" s="50" t="s">
        <v>68</v>
      </c>
      <c r="B45" s="51" t="s">
        <v>15</v>
      </c>
      <c r="C45" s="52" t="s">
        <v>49</v>
      </c>
      <c r="D45" s="51" t="s">
        <v>51</v>
      </c>
      <c r="E45" s="51" t="s">
        <v>16</v>
      </c>
      <c r="F45" s="53" t="s">
        <v>33</v>
      </c>
      <c r="G45" s="53" t="s">
        <v>69</v>
      </c>
      <c r="H45" s="13">
        <f>391690+313.95+49671</f>
        <v>441674.95</v>
      </c>
      <c r="I45" s="54"/>
      <c r="J45" s="55"/>
      <c r="K45" s="54"/>
      <c r="L45" s="54"/>
      <c r="M45" s="55">
        <f t="shared" si="3"/>
        <v>0</v>
      </c>
      <c r="N45" s="55"/>
      <c r="O45" s="55"/>
      <c r="P45" s="55">
        <v>282251.85</v>
      </c>
      <c r="Q45" s="55"/>
      <c r="R45" s="55"/>
      <c r="S45" s="16"/>
      <c r="T45" s="16"/>
      <c r="U45" s="16">
        <v>109752.1</v>
      </c>
      <c r="V45" s="16">
        <v>49366.75</v>
      </c>
      <c r="W45" s="13">
        <f t="shared" si="7"/>
        <v>441370.69999999995</v>
      </c>
      <c r="X45" s="13">
        <f t="shared" si="6"/>
        <v>304.2500000000582</v>
      </c>
      <c r="Y45" s="52" t="s">
        <v>49</v>
      </c>
    </row>
    <row r="46" spans="1:25" ht="30">
      <c r="A46" s="50" t="s">
        <v>68</v>
      </c>
      <c r="B46" s="51" t="s">
        <v>15</v>
      </c>
      <c r="C46" s="52" t="s">
        <v>49</v>
      </c>
      <c r="D46" s="51" t="s">
        <v>51</v>
      </c>
      <c r="E46" s="51" t="s">
        <v>16</v>
      </c>
      <c r="F46" s="53" t="s">
        <v>33</v>
      </c>
      <c r="G46" s="53" t="s">
        <v>42</v>
      </c>
      <c r="H46" s="13">
        <v>13000</v>
      </c>
      <c r="I46" s="54"/>
      <c r="J46" s="55"/>
      <c r="K46" s="54"/>
      <c r="L46" s="54"/>
      <c r="M46" s="55">
        <f t="shared" si="3"/>
        <v>0</v>
      </c>
      <c r="N46" s="55"/>
      <c r="O46" s="55"/>
      <c r="P46" s="55">
        <v>13000</v>
      </c>
      <c r="Q46" s="55"/>
      <c r="R46" s="55"/>
      <c r="S46" s="16"/>
      <c r="T46" s="16"/>
      <c r="U46" s="16"/>
      <c r="V46" s="16"/>
      <c r="W46" s="13">
        <f t="shared" si="7"/>
        <v>13000</v>
      </c>
      <c r="X46" s="13">
        <f t="shared" si="6"/>
        <v>0</v>
      </c>
      <c r="Y46" s="52" t="s">
        <v>49</v>
      </c>
    </row>
    <row r="47" spans="1:25" ht="30">
      <c r="A47" s="50" t="s">
        <v>68</v>
      </c>
      <c r="B47" s="51" t="s">
        <v>15</v>
      </c>
      <c r="C47" s="52" t="s">
        <v>49</v>
      </c>
      <c r="D47" s="51" t="s">
        <v>50</v>
      </c>
      <c r="E47" s="51" t="s">
        <v>16</v>
      </c>
      <c r="F47" s="53" t="s">
        <v>33</v>
      </c>
      <c r="G47" s="53" t="s">
        <v>42</v>
      </c>
      <c r="H47" s="13">
        <f>166703-71703-889.5</f>
        <v>94110.5</v>
      </c>
      <c r="I47" s="54"/>
      <c r="J47" s="55"/>
      <c r="K47" s="54"/>
      <c r="L47" s="54"/>
      <c r="M47" s="55">
        <f t="shared" si="3"/>
        <v>0</v>
      </c>
      <c r="N47" s="55"/>
      <c r="O47" s="55"/>
      <c r="P47" s="55">
        <v>94110.5</v>
      </c>
      <c r="Q47" s="55"/>
      <c r="R47" s="55"/>
      <c r="S47" s="16"/>
      <c r="T47" s="16"/>
      <c r="U47" s="16"/>
      <c r="V47" s="16"/>
      <c r="W47" s="13">
        <f t="shared" si="7"/>
        <v>94110.5</v>
      </c>
      <c r="X47" s="13">
        <f t="shared" si="6"/>
        <v>0</v>
      </c>
      <c r="Y47" s="52" t="s">
        <v>49</v>
      </c>
    </row>
    <row r="48" spans="1:25" ht="30">
      <c r="A48" s="50" t="s">
        <v>68</v>
      </c>
      <c r="B48" s="43" t="s">
        <v>15</v>
      </c>
      <c r="C48" s="15" t="s">
        <v>49</v>
      </c>
      <c r="D48" s="43" t="s">
        <v>51</v>
      </c>
      <c r="E48" s="43" t="s">
        <v>16</v>
      </c>
      <c r="F48" s="12" t="s">
        <v>33</v>
      </c>
      <c r="G48" s="12" t="s">
        <v>69</v>
      </c>
      <c r="H48" s="13"/>
      <c r="I48" s="13"/>
      <c r="J48" s="16"/>
      <c r="K48" s="13"/>
      <c r="L48" s="13"/>
      <c r="M48" s="16">
        <f>I48+K48+L48</f>
        <v>0</v>
      </c>
      <c r="N48" s="16"/>
      <c r="O48" s="16"/>
      <c r="P48" s="16"/>
      <c r="Q48" s="16"/>
      <c r="R48" s="16"/>
      <c r="S48" s="16"/>
      <c r="T48" s="16"/>
      <c r="U48" s="16"/>
      <c r="V48" s="16"/>
      <c r="W48" s="13">
        <f t="shared" si="7"/>
        <v>0</v>
      </c>
      <c r="X48" s="13"/>
      <c r="Y48" s="15"/>
    </row>
    <row r="49" spans="1:25" ht="15">
      <c r="A49" s="14"/>
      <c r="B49" s="43"/>
      <c r="C49" s="15"/>
      <c r="D49" s="43"/>
      <c r="E49" s="43"/>
      <c r="F49" s="12"/>
      <c r="G49" s="12"/>
      <c r="H49" s="13"/>
      <c r="I49" s="13"/>
      <c r="J49" s="16"/>
      <c r="K49" s="13"/>
      <c r="L49" s="13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3">
        <f t="shared" si="7"/>
        <v>0</v>
      </c>
      <c r="X49" s="13"/>
      <c r="Y49" s="15"/>
    </row>
    <row r="50" spans="1:24" ht="15">
      <c r="A50" s="14"/>
      <c r="B50" s="43"/>
      <c r="C50" s="15"/>
      <c r="D50" s="43"/>
      <c r="E50" s="43"/>
      <c r="F50" s="12"/>
      <c r="G50" s="12"/>
      <c r="H50" s="13">
        <f>SUM(H21:H49)</f>
        <v>29360965.1</v>
      </c>
      <c r="I50" s="13">
        <f>SUM(I21:I49)</f>
        <v>695000</v>
      </c>
      <c r="J50" s="16"/>
      <c r="K50" s="13">
        <f>SUM(K21:K49)</f>
        <v>2850744.8200000003</v>
      </c>
      <c r="L50" s="13">
        <f>SUM(L21:L49)</f>
        <v>2588131.53</v>
      </c>
      <c r="M50" s="13">
        <f>SUM(M21:M49)</f>
        <v>6133876.350000001</v>
      </c>
      <c r="N50" s="13">
        <f>SUM(N21:N49)</f>
        <v>2011523.92</v>
      </c>
      <c r="O50" s="13">
        <f>SUM(O21:O49)</f>
        <v>3365726.27</v>
      </c>
      <c r="P50" s="13">
        <f>SUM(P21:P49)</f>
        <v>3759819.19</v>
      </c>
      <c r="Q50" s="13">
        <f>SUM(Q21:Q49)</f>
        <v>1378680.18</v>
      </c>
      <c r="R50" s="13">
        <f>SUM(R21:R49)</f>
        <v>1261380.28</v>
      </c>
      <c r="S50" s="13">
        <f>SUM(S21:S49)</f>
        <v>2381283.9599999995</v>
      </c>
      <c r="T50" s="13">
        <f>SUM(T21:T49)</f>
        <v>2235528.59</v>
      </c>
      <c r="U50" s="13">
        <f>SUM(U21:U49)</f>
        <v>3108978.71</v>
      </c>
      <c r="V50" s="13">
        <f>SUM(V21:V49)</f>
        <v>3610214.1799999997</v>
      </c>
      <c r="W50" s="13">
        <f>SUM(W21:W49)</f>
        <v>29247011.62999999</v>
      </c>
      <c r="X50" s="13">
        <f>SUM(X21:X49)</f>
        <v>113953.4699999998</v>
      </c>
    </row>
    <row r="51" spans="1:26" ht="15" customHeight="1">
      <c r="A51" s="72" t="s">
        <v>14</v>
      </c>
      <c r="B51" s="73"/>
      <c r="C51" s="73"/>
      <c r="D51" s="73"/>
      <c r="E51" s="73"/>
      <c r="F51" s="73"/>
      <c r="G51" s="73"/>
      <c r="H51" s="74"/>
      <c r="I51" s="13"/>
      <c r="J51" s="16"/>
      <c r="K51" s="13"/>
      <c r="L51" s="13"/>
      <c r="M51" s="16">
        <f>I50+K50+L50</f>
        <v>6133876.35</v>
      </c>
      <c r="N51" s="16"/>
      <c r="O51" s="16"/>
      <c r="P51" s="16"/>
      <c r="Q51" s="16"/>
      <c r="R51" s="16"/>
      <c r="S51" s="16"/>
      <c r="T51" s="16"/>
      <c r="U51" s="16"/>
      <c r="V51" s="16"/>
      <c r="W51" s="13"/>
      <c r="X51" s="13"/>
      <c r="Z51" s="57"/>
    </row>
    <row r="52" spans="1:24" ht="15">
      <c r="A52" s="14"/>
      <c r="B52" s="43" t="s">
        <v>15</v>
      </c>
      <c r="C52" s="43" t="s">
        <v>40</v>
      </c>
      <c r="D52" s="43" t="s">
        <v>44</v>
      </c>
      <c r="E52" s="43" t="s">
        <v>16</v>
      </c>
      <c r="F52" s="12" t="s">
        <v>31</v>
      </c>
      <c r="G52" s="12" t="s">
        <v>42</v>
      </c>
      <c r="H52" s="13">
        <v>450000</v>
      </c>
      <c r="I52" s="13"/>
      <c r="J52" s="16"/>
      <c r="K52" s="13">
        <v>41722.2</v>
      </c>
      <c r="L52" s="13">
        <v>50352.4</v>
      </c>
      <c r="M52" s="16">
        <f>I52+K52+L52</f>
        <v>92074.6</v>
      </c>
      <c r="N52" s="16">
        <v>23675.3</v>
      </c>
      <c r="O52" s="16">
        <v>43950.9</v>
      </c>
      <c r="P52" s="16">
        <v>2715.65</v>
      </c>
      <c r="Q52" s="16"/>
      <c r="R52" s="16"/>
      <c r="S52" s="16">
        <v>20782.5</v>
      </c>
      <c r="T52" s="16">
        <v>11300.95</v>
      </c>
      <c r="U52" s="16">
        <v>20755.58</v>
      </c>
      <c r="V52" s="16">
        <v>2978</v>
      </c>
      <c r="W52" s="13">
        <f t="shared" si="7"/>
        <v>218233.48000000004</v>
      </c>
      <c r="X52" s="13">
        <f t="shared" si="6"/>
        <v>231766.51999999996</v>
      </c>
    </row>
    <row r="53" spans="1:24" ht="15">
      <c r="A53" s="44"/>
      <c r="B53" s="46"/>
      <c r="C53" s="46"/>
      <c r="D53" s="46"/>
      <c r="E53" s="46"/>
      <c r="F53" s="46"/>
      <c r="G53" s="46"/>
      <c r="H53" s="17"/>
      <c r="I53" s="17"/>
      <c r="J53" s="16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48"/>
    </row>
    <row r="54" spans="1:24" ht="15">
      <c r="A54" s="44" t="s">
        <v>41</v>
      </c>
      <c r="B54" s="45"/>
      <c r="C54" s="45"/>
      <c r="D54" s="45"/>
      <c r="E54" s="75" t="s">
        <v>101</v>
      </c>
      <c r="F54" s="75"/>
      <c r="G54" s="75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</row>
    <row r="55" spans="1:24" ht="15">
      <c r="A55" s="44" t="s">
        <v>37</v>
      </c>
      <c r="B55" s="45"/>
      <c r="C55" s="45"/>
      <c r="D55" s="45"/>
      <c r="E55" s="47" t="s">
        <v>58</v>
      </c>
      <c r="F55" s="47"/>
      <c r="G55" s="4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</row>
    <row r="56" spans="1:24" ht="15">
      <c r="A56" s="7"/>
      <c r="B56" s="8"/>
      <c r="C56" s="8"/>
      <c r="D56" s="8"/>
      <c r="E56" s="8"/>
      <c r="F56" s="8"/>
      <c r="G56" s="8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</row>
    <row r="57" spans="1:24" ht="15">
      <c r="A57" s="7"/>
      <c r="B57" s="8"/>
      <c r="C57" s="8"/>
      <c r="D57" s="8"/>
      <c r="E57" s="10"/>
      <c r="F57" s="8"/>
      <c r="G57" s="8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</row>
    <row r="58" spans="1:24" ht="15">
      <c r="A58" s="7"/>
      <c r="B58" s="8"/>
      <c r="C58" s="8"/>
      <c r="D58" s="8"/>
      <c r="E58" s="8"/>
      <c r="F58" s="8"/>
      <c r="G58" s="8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</row>
    <row r="59" spans="1:24" ht="15">
      <c r="A59" s="7"/>
      <c r="B59" s="8"/>
      <c r="C59" s="8"/>
      <c r="D59" s="8"/>
      <c r="E59" s="8"/>
      <c r="F59" s="8"/>
      <c r="G59" s="8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</row>
    <row r="60" spans="1:24" ht="15">
      <c r="A60" s="7"/>
      <c r="B60" s="8"/>
      <c r="C60" s="8"/>
      <c r="D60" s="8"/>
      <c r="E60" s="8"/>
      <c r="F60" s="8"/>
      <c r="G60" s="8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</row>
    <row r="61" spans="5:24" ht="15">
      <c r="E61" s="8"/>
      <c r="F61" s="8"/>
      <c r="G61" s="8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</row>
    <row r="62" spans="5:24" ht="15">
      <c r="E62" s="8"/>
      <c r="F62" s="8"/>
      <c r="G62" s="8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8:24" ht="409.5"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</row>
    <row r="66" spans="9:15" ht="409.5">
      <c r="I66" s="17"/>
      <c r="K66" s="17"/>
      <c r="M66" s="17"/>
      <c r="O66" s="17"/>
    </row>
    <row r="67" spans="9:15" ht="15">
      <c r="I67" s="17"/>
      <c r="K67" s="17"/>
      <c r="M67" s="17"/>
      <c r="O67" s="17"/>
    </row>
    <row r="68" spans="9:15" ht="15">
      <c r="I68" s="17"/>
      <c r="K68" s="17"/>
      <c r="M68" s="17"/>
      <c r="O68" s="17"/>
    </row>
    <row r="69" spans="9:15" ht="15">
      <c r="I69" s="17"/>
      <c r="K69" s="17"/>
      <c r="O69" s="17"/>
    </row>
    <row r="70" spans="9:15" ht="15">
      <c r="I70" s="17"/>
      <c r="K70" s="17"/>
      <c r="O70" s="17"/>
    </row>
    <row r="71" spans="9:15" ht="15">
      <c r="I71" s="17"/>
      <c r="K71" s="17"/>
      <c r="O71" s="17"/>
    </row>
    <row r="73" spans="9:15" ht="15">
      <c r="I73" s="57"/>
      <c r="K73" s="57"/>
      <c r="M73" s="57"/>
      <c r="O73" s="57"/>
    </row>
    <row r="83" spans="9:11" ht="15">
      <c r="I83" s="57"/>
      <c r="K83" s="57"/>
    </row>
  </sheetData>
  <sheetProtection/>
  <mergeCells count="6">
    <mergeCell ref="E3:H3"/>
    <mergeCell ref="A8:A9"/>
    <mergeCell ref="B8:F8"/>
    <mergeCell ref="I1:M1"/>
    <mergeCell ref="A51:H51"/>
    <mergeCell ref="E54:G54"/>
  </mergeCells>
  <printOptions/>
  <pageMargins left="0" right="0" top="0" bottom="0" header="0.31496062992125984" footer="0.31496062992125984"/>
  <pageSetup fitToHeight="2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O13"/>
  <sheetViews>
    <sheetView zoomScalePageLayoutView="0" workbookViewId="0" topLeftCell="A1">
      <selection activeCell="C8" sqref="C8"/>
    </sheetView>
  </sheetViews>
  <sheetFormatPr defaultColWidth="9.140625" defaultRowHeight="15"/>
  <cols>
    <col min="2" max="2" width="20.421875" style="0" customWidth="1"/>
    <col min="9" max="9" width="12.00390625" style="0" customWidth="1"/>
    <col min="12" max="12" width="12.7109375" style="0" customWidth="1"/>
    <col min="13" max="13" width="9.421875" style="0" bestFit="1" customWidth="1"/>
    <col min="14" max="14" width="15.00390625" style="0" customWidth="1"/>
    <col min="15" max="15" width="12.28125" style="0" customWidth="1"/>
  </cols>
  <sheetData>
    <row r="3" spans="3:8" ht="15">
      <c r="C3" s="67" t="s">
        <v>83</v>
      </c>
      <c r="D3" s="67"/>
      <c r="E3" s="67"/>
      <c r="F3" s="67"/>
      <c r="G3" s="67"/>
      <c r="H3" s="67"/>
    </row>
    <row r="4" spans="3:15" ht="15">
      <c r="C4" s="68"/>
      <c r="D4" s="68"/>
      <c r="E4" s="68"/>
      <c r="F4" s="68"/>
      <c r="G4" s="68"/>
      <c r="H4" s="68"/>
      <c r="J4" s="1" t="s">
        <v>65</v>
      </c>
      <c r="K4" s="1"/>
      <c r="L4" s="1" t="s">
        <v>71</v>
      </c>
      <c r="M4" s="1" t="s">
        <v>75</v>
      </c>
      <c r="N4" s="1" t="s">
        <v>79</v>
      </c>
      <c r="O4" s="1" t="s">
        <v>74</v>
      </c>
    </row>
    <row r="5" spans="2:15" ht="15">
      <c r="B5" s="2" t="s">
        <v>56</v>
      </c>
      <c r="C5" s="20" t="s">
        <v>35</v>
      </c>
      <c r="D5" s="20" t="s">
        <v>36</v>
      </c>
      <c r="E5" s="20" t="s">
        <v>60</v>
      </c>
      <c r="F5" s="20" t="s">
        <v>35</v>
      </c>
      <c r="G5" s="20" t="s">
        <v>17</v>
      </c>
      <c r="H5" s="20" t="s">
        <v>47</v>
      </c>
      <c r="I5" s="21">
        <v>629000</v>
      </c>
      <c r="J5" s="21"/>
      <c r="K5" s="21"/>
      <c r="L5" s="21">
        <v>51915.41</v>
      </c>
      <c r="M5" s="21">
        <v>70095</v>
      </c>
      <c r="N5" s="21">
        <f>J5+L5+M5</f>
        <v>122010.41</v>
      </c>
      <c r="O5" s="21">
        <f>I5-N5</f>
        <v>506989.58999999997</v>
      </c>
    </row>
    <row r="6" spans="2:15" ht="15">
      <c r="B6" s="2" t="s">
        <v>66</v>
      </c>
      <c r="C6" s="20" t="s">
        <v>35</v>
      </c>
      <c r="D6" s="20" t="s">
        <v>36</v>
      </c>
      <c r="E6" s="20" t="s">
        <v>60</v>
      </c>
      <c r="F6" s="20" t="s">
        <v>35</v>
      </c>
      <c r="G6" s="20" t="s">
        <v>17</v>
      </c>
      <c r="H6" s="20" t="s">
        <v>38</v>
      </c>
      <c r="I6" s="21">
        <f>877300-30000</f>
        <v>847300</v>
      </c>
      <c r="J6" s="21"/>
      <c r="K6" s="21"/>
      <c r="L6" s="21">
        <v>372618</v>
      </c>
      <c r="M6" s="21"/>
      <c r="N6" s="21">
        <f>J6+L6+M6</f>
        <v>372618</v>
      </c>
      <c r="O6" s="21">
        <f>I6-N6</f>
        <v>474682</v>
      </c>
    </row>
    <row r="7" spans="2:15" ht="15">
      <c r="B7" s="2" t="s">
        <v>66</v>
      </c>
      <c r="C7" s="20" t="s">
        <v>35</v>
      </c>
      <c r="D7" s="20" t="s">
        <v>36</v>
      </c>
      <c r="E7" s="20" t="s">
        <v>60</v>
      </c>
      <c r="F7" s="20" t="s">
        <v>35</v>
      </c>
      <c r="G7" s="20" t="s">
        <v>17</v>
      </c>
      <c r="H7" s="20" t="s">
        <v>76</v>
      </c>
      <c r="I7" s="21">
        <v>30000</v>
      </c>
      <c r="J7" s="21"/>
      <c r="K7" s="21"/>
      <c r="L7" s="21"/>
      <c r="M7" s="21">
        <v>14270.15</v>
      </c>
      <c r="N7" s="21">
        <f>J7+L7+M7</f>
        <v>14270.15</v>
      </c>
      <c r="O7" s="21">
        <f>I7-N7</f>
        <v>15729.85</v>
      </c>
    </row>
    <row r="8" spans="2:15" ht="57" customHeight="1">
      <c r="B8" s="3" t="s">
        <v>55</v>
      </c>
      <c r="C8" s="20" t="s">
        <v>35</v>
      </c>
      <c r="D8" s="20" t="s">
        <v>36</v>
      </c>
      <c r="E8" s="20" t="s">
        <v>60</v>
      </c>
      <c r="F8" s="20" t="s">
        <v>35</v>
      </c>
      <c r="G8" s="20" t="s">
        <v>17</v>
      </c>
      <c r="H8" s="20" t="s">
        <v>63</v>
      </c>
      <c r="I8" s="21">
        <v>60000</v>
      </c>
      <c r="J8" s="21"/>
      <c r="K8" s="21"/>
      <c r="L8" s="21"/>
      <c r="M8" s="21"/>
      <c r="N8" s="21">
        <f>J8+L8+M8</f>
        <v>0</v>
      </c>
      <c r="O8" s="21">
        <f>I8-N8</f>
        <v>60000</v>
      </c>
    </row>
    <row r="9" spans="2:15" ht="45">
      <c r="B9" s="3" t="s">
        <v>55</v>
      </c>
      <c r="C9" s="20" t="s">
        <v>35</v>
      </c>
      <c r="D9" s="20" t="s">
        <v>36</v>
      </c>
      <c r="E9" s="20" t="s">
        <v>60</v>
      </c>
      <c r="F9" s="20" t="s">
        <v>35</v>
      </c>
      <c r="G9" s="20" t="s">
        <v>17</v>
      </c>
      <c r="H9" s="20" t="s">
        <v>70</v>
      </c>
      <c r="I9" s="21">
        <v>2006000</v>
      </c>
      <c r="J9" s="21"/>
      <c r="K9" s="21"/>
      <c r="L9" s="21"/>
      <c r="M9" s="21"/>
      <c r="N9" s="21">
        <f>J9+L9+M9</f>
        <v>0</v>
      </c>
      <c r="O9" s="21">
        <f>I9-N9</f>
        <v>2006000</v>
      </c>
    </row>
    <row r="10" spans="2:15" ht="15">
      <c r="B10" s="3"/>
      <c r="C10" s="20"/>
      <c r="D10" s="20"/>
      <c r="E10" s="20"/>
      <c r="F10" s="20"/>
      <c r="G10" s="20"/>
      <c r="H10" s="20"/>
      <c r="I10" s="21"/>
      <c r="J10" s="21"/>
      <c r="K10" s="21"/>
      <c r="L10" s="21"/>
      <c r="M10" s="21"/>
      <c r="N10" s="21"/>
      <c r="O10" s="21"/>
    </row>
    <row r="11" spans="2:15" ht="15">
      <c r="B11" s="22"/>
      <c r="C11" s="20"/>
      <c r="D11" s="20"/>
      <c r="E11" s="20"/>
      <c r="F11" s="20"/>
      <c r="G11" s="20"/>
      <c r="H11" s="20"/>
      <c r="I11" s="21"/>
      <c r="J11" s="21"/>
      <c r="K11" s="21"/>
      <c r="L11" s="21"/>
      <c r="M11" s="21"/>
      <c r="N11" s="21"/>
      <c r="O11" s="21"/>
    </row>
    <row r="12" spans="2:15" ht="15">
      <c r="B12" s="4" t="s">
        <v>80</v>
      </c>
      <c r="C12" s="5"/>
      <c r="D12" s="5"/>
      <c r="E12" s="5"/>
      <c r="F12" s="5"/>
      <c r="G12" s="5"/>
      <c r="H12" s="5"/>
      <c r="I12" s="6">
        <f>SUM(I5:I9)</f>
        <v>3572300</v>
      </c>
      <c r="J12" s="6">
        <f>SUM(J5:J9)</f>
        <v>0</v>
      </c>
      <c r="K12" s="6"/>
      <c r="L12" s="6">
        <f>SUM(L5:L9)</f>
        <v>424533.41000000003</v>
      </c>
      <c r="M12" s="6">
        <f>SUM(M5:M9)</f>
        <v>84365.15</v>
      </c>
      <c r="N12" s="6">
        <f>SUM(N5:N9)</f>
        <v>508898.56000000006</v>
      </c>
      <c r="O12" s="6">
        <f>SUM(O5:O9)</f>
        <v>3063401.44</v>
      </c>
    </row>
    <row r="13" spans="2:15" ht="15">
      <c r="B13" s="11"/>
      <c r="C13" s="5"/>
      <c r="D13" s="5"/>
      <c r="E13" s="5"/>
      <c r="F13" s="5"/>
      <c r="G13" s="5"/>
      <c r="H13" s="5"/>
      <c r="I13" s="6"/>
      <c r="J13" s="6"/>
      <c r="K13" s="6"/>
      <c r="L13" s="6"/>
      <c r="M13" s="6"/>
      <c r="N13" s="6"/>
      <c r="O13" s="6">
        <f>I12-N12</f>
        <v>3063401.44</v>
      </c>
    </row>
  </sheetData>
  <sheetProtection/>
  <mergeCells count="1">
    <mergeCell ref="C3:H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uzer</dc:creator>
  <cp:keywords/>
  <dc:description/>
  <cp:lastModifiedBy>Бухгалтер</cp:lastModifiedBy>
  <cp:lastPrinted>2016-01-12T00:08:52Z</cp:lastPrinted>
  <dcterms:created xsi:type="dcterms:W3CDTF">2013-01-16T03:58:15Z</dcterms:created>
  <dcterms:modified xsi:type="dcterms:W3CDTF">2016-02-11T05:52:12Z</dcterms:modified>
  <cp:category/>
  <cp:version/>
  <cp:contentType/>
  <cp:contentStatus/>
</cp:coreProperties>
</file>